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orma" sheetId="1" r:id="rId4"/>
  </sheets>
  <definedNames/>
  <calcPr/>
  <extLst>
    <ext uri="GoogleSheetsCustomDataVersion1">
      <go:sheetsCustomData xmlns:go="http://customooxmlschemas.google.com/" r:id="rId5" roundtripDataSignature="AMtx7mhoa/SE33NrCwfxwoH3BPizgnoOE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3">
      <text>
        <t xml:space="preserve">======
ID#AAAAO-DVdZo
Tony Drost    (2021-09-14 16:33:47)
You can use actual or market rent here</t>
      </text>
    </comment>
  </commentList>
  <extLst>
    <ext uri="GoogleSheetsCustomDataVersion1">
      <go:sheetsCustomData xmlns:go="http://customooxmlschemas.google.com/" r:id="rId1" roundtripDataSignature="AMtx7mhe5NWo7WHQUWYGWuhWt0hYszlUtg=="/>
    </ext>
  </extLst>
</comments>
</file>

<file path=xl/sharedStrings.xml><?xml version="1.0" encoding="utf-8"?>
<sst xmlns="http://schemas.openxmlformats.org/spreadsheetml/2006/main" count="110" uniqueCount="94">
  <si>
    <t>Residential Income Property Financial Proforma</t>
  </si>
  <si>
    <t>Notes &amp; Assumptions</t>
  </si>
  <si>
    <t>Only enter data into the ligh blue fields</t>
  </si>
  <si>
    <t xml:space="preserve">Property address:  </t>
  </si>
  <si>
    <t xml:space="preserve">Prepared by:  </t>
  </si>
  <si>
    <t>Area</t>
  </si>
  <si>
    <t>All income &amp; expenses to be verified</t>
  </si>
  <si>
    <t>Year Built</t>
  </si>
  <si>
    <t>Number of Units</t>
  </si>
  <si>
    <t>Purchase Price</t>
  </si>
  <si>
    <t>Down Payment</t>
  </si>
  <si>
    <t>Loan Balance</t>
  </si>
  <si>
    <t>Term</t>
  </si>
  <si>
    <t>Interest</t>
  </si>
  <si>
    <t>Annual Debt Service (P &amp; I)</t>
  </si>
  <si>
    <t>Loan Annual Interest Paid</t>
  </si>
  <si>
    <t>Loan Principle Paydown - 1st year</t>
  </si>
  <si>
    <t>Initial Rehab</t>
  </si>
  <si>
    <t xml:space="preserve">Buyer to Verify (BTV) needs (with help from agents). </t>
  </si>
  <si>
    <t>Closing Costs (% of Loan Amount)</t>
  </si>
  <si>
    <t>Total Initial Investment (Down Payment plus closing costs)</t>
  </si>
  <si>
    <t>Assumed Annual Rate of Appreciation</t>
  </si>
  <si>
    <t>INCOME</t>
  </si>
  <si>
    <t>Number</t>
  </si>
  <si>
    <t>Approx.</t>
  </si>
  <si>
    <t>Market</t>
  </si>
  <si>
    <t>Monthly</t>
  </si>
  <si>
    <t>Annual</t>
  </si>
  <si>
    <t>of units</t>
  </si>
  <si>
    <t>Sq. Ft.</t>
  </si>
  <si>
    <t>Rents</t>
  </si>
  <si>
    <t>Rents: 4/2</t>
  </si>
  <si>
    <t>Gross Potential Rents</t>
  </si>
  <si>
    <t>Vacancy &amp; Economic Loss</t>
  </si>
  <si>
    <t>Net Rental Income</t>
  </si>
  <si>
    <t>Other Income</t>
  </si>
  <si>
    <t>TOTAL  INCOME</t>
  </si>
  <si>
    <t>OPERATING  EXPENSES</t>
  </si>
  <si>
    <t>Water</t>
  </si>
  <si>
    <t>Paid by tenant</t>
  </si>
  <si>
    <t>Sewer</t>
  </si>
  <si>
    <t>Electric</t>
  </si>
  <si>
    <t>Gas</t>
  </si>
  <si>
    <t>Vacancy utilities</t>
  </si>
  <si>
    <t>Estimate</t>
  </si>
  <si>
    <t>Total Utilities</t>
  </si>
  <si>
    <t>HOA</t>
  </si>
  <si>
    <t>Current Anniual Dues</t>
  </si>
  <si>
    <t>Exterior Maintenance</t>
  </si>
  <si>
    <t>Sprinklers.  Tenant does lawn</t>
  </si>
  <si>
    <t xml:space="preserve">Cleaning, Repairs &amp; Maintenance </t>
  </si>
  <si>
    <t>Total Maintenance</t>
  </si>
  <si>
    <t>Advertising</t>
  </si>
  <si>
    <t>Initial rent up</t>
  </si>
  <si>
    <t>Taxes</t>
  </si>
  <si>
    <t>Estimate w/o Exemption</t>
  </si>
  <si>
    <t>Insurance</t>
  </si>
  <si>
    <t>Management</t>
  </si>
  <si>
    <t>Total Admin &amp; Marketing</t>
  </si>
  <si>
    <t>TOTAL  OPERATING  EXPENSES</t>
  </si>
  <si>
    <t>NET  OPERATING  INCOME  (NOI)</t>
  </si>
  <si>
    <t>CASH  FLOW</t>
  </si>
  <si>
    <t>Net Operating Income</t>
  </si>
  <si>
    <t>Replacement Fund for Capital Expenditures (per unit)</t>
  </si>
  <si>
    <t>Less Principle &amp; Interest-1st</t>
  </si>
  <si>
    <t>NET  CASH  FLOW</t>
  </si>
  <si>
    <t>PERFORMANCE  STATS</t>
  </si>
  <si>
    <t>Gross Rent Multiplier-Annual</t>
  </si>
  <si>
    <t>Price / Gross Potential Rents</t>
  </si>
  <si>
    <t>Red - negative</t>
  </si>
  <si>
    <t>Gross Rent Multiplier-Monthly</t>
  </si>
  <si>
    <t>Yellow - Mediocrity</t>
  </si>
  <si>
    <t>Price Per Unit</t>
  </si>
  <si>
    <t>Price / Number of Units</t>
  </si>
  <si>
    <t>Green - Great</t>
  </si>
  <si>
    <t>Cash on Cash Return</t>
  </si>
  <si>
    <t>Net Cash Flow / Total Investment</t>
  </si>
  <si>
    <t>Return with Loan Paydown</t>
  </si>
  <si>
    <t>Net Cash Flow + Principle Paydown/</t>
  </si>
  <si>
    <t>First year return</t>
  </si>
  <si>
    <t>Total Initial Investment</t>
  </si>
  <si>
    <t>Subsequent year's returns should increase.</t>
  </si>
  <si>
    <t>Net Cash Flow + Principle Paydown + Appreciation/</t>
  </si>
  <si>
    <t>and Appreciation</t>
  </si>
  <si>
    <t>Expenses Per Revenue (%)</t>
  </si>
  <si>
    <t>Annual Operating Expenses / Total Revenue</t>
  </si>
  <si>
    <t>Expenses Per Unit</t>
  </si>
  <si>
    <t>Annual Operating Expenses / Number of Units</t>
  </si>
  <si>
    <t>Cap Rate</t>
  </si>
  <si>
    <t>Net Operating Income / Purchase Price</t>
  </si>
  <si>
    <t>Cap Rate after Rehab Costs</t>
  </si>
  <si>
    <t>NOI / (Purchase Price + Rehab Costs)</t>
  </si>
  <si>
    <t>Debt Coverage Ratio</t>
  </si>
  <si>
    <t>NOI / Annual Debt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</si>
</sst>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_(&quot;$&quot;* #,##0_);_(&quot;$&quot;* \(#,##0\);_(&quot;$&quot;* &quot;-&quot;_);_(@_)"/>
  </numFmts>
  <fonts count="14">
    <font>
      <sz val="10.0"/>
      <color rgb="FF000000"/>
      <name val="Arial"/>
    </font>
    <font>
      <b/>
      <sz val="1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color theme="1"/>
      <name val="Arial"/>
    </font>
    <font>
      <sz val="9.0"/>
      <color theme="1"/>
      <name val="Arial"/>
    </font>
    <font>
      <b/>
      <sz val="11.0"/>
      <color rgb="FFDD0806"/>
      <name val="Arial"/>
    </font>
    <font>
      <sz val="8.0"/>
      <color theme="1"/>
      <name val="Arial"/>
    </font>
    <font>
      <b/>
      <sz val="8.0"/>
      <color theme="1"/>
      <name val="Arial"/>
    </font>
    <font>
      <b/>
      <sz val="12.0"/>
      <color theme="1"/>
      <name val="Arial"/>
    </font>
    <font>
      <b/>
      <sz val="9.0"/>
      <color theme="1"/>
      <name val="Arial"/>
    </font>
    <font>
      <sz val="10.0"/>
      <color rgb="FF0066CC"/>
      <name val="Arial"/>
    </font>
    <font>
      <sz val="10.0"/>
      <color rgb="FFDD0806"/>
      <name val="Arial"/>
    </font>
  </fonts>
  <fills count="7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theme="0"/>
        <bgColor theme="0"/>
      </patternFill>
    </fill>
    <fill>
      <patternFill patternType="solid">
        <fgColor rgb="FF8E7CC3"/>
        <bgColor rgb="FF8E7CC3"/>
      </patternFill>
    </fill>
    <fill>
      <patternFill patternType="solid">
        <fgColor rgb="FFDAEEF3"/>
        <bgColor rgb="FFDAEEF3"/>
      </patternFill>
    </fill>
    <fill>
      <patternFill patternType="solid">
        <fgColor rgb="FF99CCFF"/>
        <bgColor rgb="FF99CCFF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/>
      <top style="thin">
        <color rgb="FF000000"/>
      </top>
      <bottom/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/>
      <top style="thin">
        <color rgb="FF000000"/>
      </top>
    </border>
    <border>
      <left/>
      <right/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/>
      <right/>
      <top/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shrinkToFit="0" vertical="bottom" wrapText="0"/>
    </xf>
    <xf borderId="5" fillId="3" fontId="3" numFmtId="0" xfId="0" applyAlignment="1" applyBorder="1" applyFont="1">
      <alignment horizontal="left" shrinkToFit="0" vertical="bottom" wrapText="0"/>
    </xf>
    <xf borderId="6" fillId="0" fontId="4" numFmtId="0" xfId="0" applyAlignment="1" applyBorder="1" applyFont="1">
      <alignment horizontal="left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4" numFmtId="3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readingOrder="0"/>
    </xf>
    <xf borderId="4" fillId="3" fontId="3" numFmtId="0" xfId="0" applyAlignment="1" applyBorder="1" applyFont="1">
      <alignment shrinkToFit="0" vertical="center" wrapText="0"/>
    </xf>
    <xf borderId="5" fillId="3" fontId="3" numFmtId="0" xfId="0" applyAlignment="1" applyBorder="1" applyFont="1">
      <alignment horizontal="left" shrinkToFit="0" vertical="center" wrapText="0"/>
    </xf>
    <xf borderId="0" fillId="0" fontId="4" numFmtId="0" xfId="0" applyAlignment="1" applyFont="1">
      <alignment horizontal="left" shrinkToFit="0" vertical="center" wrapText="1"/>
    </xf>
    <xf borderId="9" fillId="0" fontId="2" numFmtId="0" xfId="0" applyBorder="1" applyFont="1"/>
    <xf borderId="10" fillId="0" fontId="2" numFmtId="0" xfId="0" applyBorder="1" applyFont="1"/>
    <xf borderId="4" fillId="3" fontId="6" numFmtId="0" xfId="0" applyAlignment="1" applyBorder="1" applyFont="1">
      <alignment horizontal="left" shrinkToFit="0" vertical="center" wrapText="0"/>
    </xf>
    <xf borderId="5" fillId="3" fontId="6" numFmtId="0" xfId="0" applyAlignment="1" applyBorder="1" applyFont="1">
      <alignment horizontal="left" shrinkToFit="0" vertical="center" wrapText="0"/>
    </xf>
    <xf borderId="11" fillId="0" fontId="2" numFmtId="0" xfId="0" applyBorder="1" applyFont="1"/>
    <xf borderId="12" fillId="4" fontId="6" numFmtId="0" xfId="0" applyAlignment="1" applyBorder="1" applyFill="1" applyFont="1">
      <alignment horizontal="left" shrinkToFit="0" vertical="center" wrapText="0"/>
    </xf>
    <xf borderId="13" fillId="4" fontId="6" numFmtId="0" xfId="0" applyAlignment="1" applyBorder="1" applyFont="1">
      <alignment horizontal="left" shrinkToFit="0" vertical="center" wrapText="0"/>
    </xf>
    <xf borderId="13" fillId="4" fontId="7" numFmtId="0" xfId="0" applyAlignment="1" applyBorder="1" applyFont="1">
      <alignment horizontal="center" shrinkToFit="0" vertical="center" wrapText="0"/>
    </xf>
    <xf borderId="14" fillId="4" fontId="4" numFmtId="3" xfId="0" applyAlignment="1" applyBorder="1" applyFont="1" applyNumberFormat="1">
      <alignment horizontal="center" shrinkToFit="0" vertical="center" wrapText="0"/>
    </xf>
    <xf borderId="15" fillId="0" fontId="3" numFmtId="0" xfId="0" applyAlignment="1" applyBorder="1" applyFont="1">
      <alignment shrinkToFit="0" vertical="bottom" wrapText="0"/>
    </xf>
    <xf borderId="6" fillId="0" fontId="3" numFmtId="0" xfId="0" applyAlignment="1" applyBorder="1" applyFont="1">
      <alignment shrinkToFit="0" vertical="bottom" wrapText="0"/>
    </xf>
    <xf borderId="6" fillId="0" fontId="3" numFmtId="0" xfId="0" applyAlignment="1" applyBorder="1" applyFont="1">
      <alignment horizontal="center" shrinkToFit="0" vertical="center" wrapText="0"/>
    </xf>
    <xf borderId="16" fillId="5" fontId="3" numFmtId="0" xfId="0" applyAlignment="1" applyBorder="1" applyFill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8" fillId="0" fontId="8" numFmtId="3" xfId="0" applyAlignment="1" applyBorder="1" applyFont="1" applyNumberFormat="1">
      <alignment horizontal="center" shrinkToFit="0" vertical="center" wrapText="0"/>
    </xf>
    <xf borderId="17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5" fillId="5" fontId="3" numFmtId="0" xfId="0" applyAlignment="1" applyBorder="1" applyFont="1">
      <alignment horizontal="center" shrinkToFit="0" vertical="center" wrapText="0"/>
    </xf>
    <xf borderId="10" fillId="0" fontId="9" numFmtId="3" xfId="0" applyAlignment="1" applyBorder="1" applyFont="1" applyNumberFormat="1">
      <alignment shrinkToFit="0" vertical="center" wrapText="0"/>
    </xf>
    <xf borderId="5" fillId="5" fontId="3" numFmtId="3" xfId="0" applyAlignment="1" applyBorder="1" applyFont="1" applyNumberFormat="1">
      <alignment horizontal="center" shrinkToFit="0" vertical="center" wrapText="0"/>
    </xf>
    <xf borderId="5" fillId="5" fontId="3" numFmtId="164" xfId="0" applyAlignment="1" applyBorder="1" applyFont="1" applyNumberForma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10" fillId="0" fontId="8" numFmtId="0" xfId="0" applyAlignment="1" applyBorder="1" applyFont="1">
      <alignment horizontal="center" shrinkToFit="0" vertical="bottom" wrapText="0"/>
    </xf>
    <xf borderId="5" fillId="5" fontId="3" numFmtId="9" xfId="0" applyAlignment="1" applyBorder="1" applyFont="1" applyNumberFormat="1">
      <alignment horizontal="center" shrinkToFit="0" vertical="center" wrapText="0"/>
    </xf>
    <xf borderId="0" fillId="0" fontId="3" numFmtId="164" xfId="0" applyAlignment="1" applyFont="1" applyNumberFormat="1">
      <alignment shrinkToFit="0" vertical="bottom" wrapText="0"/>
    </xf>
    <xf borderId="18" fillId="0" fontId="3" numFmtId="0" xfId="0" applyAlignment="1" applyBorder="1" applyFont="1">
      <alignment horizontal="center" shrinkToFit="0" vertical="center" wrapText="0"/>
    </xf>
    <xf borderId="16" fillId="5" fontId="3" numFmtId="10" xfId="0" applyAlignment="1" applyBorder="1" applyFont="1" applyNumberFormat="1">
      <alignment horizontal="center" shrinkToFit="0" vertical="center" wrapText="0"/>
    </xf>
    <xf borderId="0" fillId="0" fontId="3" numFmtId="10" xfId="0" applyAlignment="1" applyFont="1" applyNumberFormat="1">
      <alignment shrinkToFit="0" vertical="bottom" wrapText="0"/>
    </xf>
    <xf borderId="10" fillId="0" fontId="6" numFmtId="0" xfId="0" applyAlignment="1" applyBorder="1" applyFont="1">
      <alignment horizontal="center" shrinkToFit="0" vertical="bottom" wrapText="0"/>
    </xf>
    <xf borderId="10" fillId="0" fontId="8" numFmtId="0" xfId="0" applyAlignment="1" applyBorder="1" applyFont="1">
      <alignment horizontal="center" shrinkToFit="0" vertical="center" wrapText="0"/>
    </xf>
    <xf borderId="5" fillId="5" fontId="3" numFmtId="165" xfId="0" applyAlignment="1" applyBorder="1" applyFont="1" applyNumberFormat="1">
      <alignment horizontal="center" shrinkToFit="0" vertical="center" wrapText="0"/>
    </xf>
    <xf borderId="0" fillId="0" fontId="3" numFmtId="164" xfId="0" applyAlignment="1" applyFont="1" applyNumberFormat="1">
      <alignment horizontal="center" shrinkToFit="0" vertical="center" wrapText="0"/>
    </xf>
    <xf borderId="5" fillId="5" fontId="3" numFmtId="165" xfId="0" applyAlignment="1" applyBorder="1" applyFont="1" applyNumberFormat="1">
      <alignment horizontal="right" shrinkToFit="0" vertical="center" wrapText="0"/>
    </xf>
    <xf borderId="19" fillId="0" fontId="6" numFmtId="0" xfId="0" applyAlignment="1" applyBorder="1" applyFont="1">
      <alignment horizontal="center" shrinkToFit="0" vertical="bottom" wrapText="0"/>
    </xf>
    <xf borderId="12" fillId="4" fontId="3" numFmtId="0" xfId="0" applyAlignment="1" applyBorder="1" applyFont="1">
      <alignment shrinkToFit="0" vertical="bottom" wrapText="0"/>
    </xf>
    <xf borderId="13" fillId="4" fontId="3" numFmtId="0" xfId="0" applyAlignment="1" applyBorder="1" applyFont="1">
      <alignment shrinkToFit="0" vertical="bottom" wrapText="0"/>
    </xf>
    <xf borderId="13" fillId="4" fontId="3" numFmtId="3" xfId="0" applyAlignment="1" applyBorder="1" applyFont="1" applyNumberFormat="1">
      <alignment shrinkToFit="0" vertical="bottom" wrapText="0"/>
    </xf>
    <xf borderId="20" fillId="4" fontId="6" numFmtId="0" xfId="0" applyAlignment="1" applyBorder="1" applyFont="1">
      <alignment horizontal="center" shrinkToFit="0" vertical="bottom" wrapText="0"/>
    </xf>
    <xf borderId="15" fillId="2" fontId="10" numFmtId="0" xfId="0" applyAlignment="1" applyBorder="1" applyFont="1">
      <alignment horizontal="left" shrinkToFit="0" vertical="center" wrapText="0"/>
    </xf>
    <xf borderId="21" fillId="2" fontId="11" numFmtId="0" xfId="0" applyAlignment="1" applyBorder="1" applyFont="1">
      <alignment horizontal="center" shrinkToFit="0" vertical="center" wrapText="0"/>
    </xf>
    <xf borderId="8" fillId="2" fontId="4" numFmtId="3" xfId="0" applyAlignment="1" applyBorder="1" applyFont="1" applyNumberFormat="1">
      <alignment horizontal="center" shrinkToFit="0" vertical="center" wrapText="0"/>
    </xf>
    <xf borderId="22" fillId="0" fontId="2" numFmtId="0" xfId="0" applyBorder="1" applyFont="1"/>
    <xf borderId="23" fillId="0" fontId="2" numFmtId="0" xfId="0" applyBorder="1" applyFont="1"/>
    <xf borderId="24" fillId="2" fontId="11" numFmtId="0" xfId="0" applyAlignment="1" applyBorder="1" applyFont="1">
      <alignment horizontal="center" shrinkToFit="0" vertical="center" wrapText="0"/>
    </xf>
    <xf borderId="19" fillId="0" fontId="2" numFmtId="0" xfId="0" applyBorder="1" applyFont="1"/>
    <xf borderId="17" fillId="0" fontId="4" numFmtId="0" xfId="0" applyAlignment="1" applyBorder="1" applyFont="1">
      <alignment shrinkToFit="0" vertical="center" wrapText="0"/>
    </xf>
    <xf borderId="5" fillId="5" fontId="3" numFmtId="0" xfId="0" applyAlignment="1" applyBorder="1" applyFont="1">
      <alignment shrinkToFit="0" vertical="center" wrapText="0"/>
    </xf>
    <xf borderId="5" fillId="5" fontId="3" numFmtId="1" xfId="0" applyAlignment="1" applyBorder="1" applyFont="1" applyNumberFormat="1">
      <alignment horizontal="center" shrinkToFit="0" vertical="center" wrapText="0"/>
    </xf>
    <xf borderId="5" fillId="5" fontId="3" numFmtId="164" xfId="0" applyAlignment="1" applyBorder="1" applyFont="1" applyNumberFormat="1">
      <alignment shrinkToFit="0" vertical="center" wrapText="0"/>
    </xf>
    <xf borderId="8" fillId="0" fontId="3" numFmtId="164" xfId="0" applyAlignment="1" applyBorder="1" applyFont="1" applyNumberFormat="1">
      <alignment shrinkToFit="0" vertical="center" wrapText="0"/>
    </xf>
    <xf borderId="7" fillId="0" fontId="3" numFmtId="164" xfId="0" applyAlignment="1" applyBorder="1" applyFont="1" applyNumberFormat="1">
      <alignment shrinkToFit="0" vertical="center" wrapText="0"/>
    </xf>
    <xf borderId="8" fillId="0" fontId="6" numFmtId="3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1" xfId="0" applyAlignment="1" applyFont="1" applyNumberFormat="1">
      <alignment horizontal="center" shrinkToFit="0" vertical="center" wrapText="0"/>
    </xf>
    <xf borderId="0" fillId="0" fontId="3" numFmtId="164" xfId="0" applyAlignment="1" applyFont="1" applyNumberFormat="1">
      <alignment shrinkToFit="0" vertical="center" wrapText="0"/>
    </xf>
    <xf borderId="10" fillId="0" fontId="3" numFmtId="164" xfId="0" applyAlignment="1" applyBorder="1" applyFont="1" applyNumberFormat="1">
      <alignment shrinkToFit="0" vertical="center" wrapText="0"/>
    </xf>
    <xf borderId="10" fillId="0" fontId="6" numFmtId="3" xfId="0" applyAlignment="1" applyBorder="1" applyFont="1" applyNumberFormat="1">
      <alignment horizontal="center" shrinkToFit="0" vertical="center" wrapText="0"/>
    </xf>
    <xf borderId="17" fillId="0" fontId="3" numFmtId="0" xfId="0" applyAlignment="1" applyBorder="1" applyFont="1">
      <alignment shrinkToFit="0" vertical="center" wrapText="0"/>
    </xf>
    <xf borderId="18" fillId="0" fontId="3" numFmtId="0" xfId="0" applyAlignment="1" applyBorder="1" applyFont="1">
      <alignment shrinkToFit="0" vertical="center" wrapText="0"/>
    </xf>
    <xf borderId="18" fillId="0" fontId="3" numFmtId="164" xfId="0" applyAlignment="1" applyBorder="1" applyFont="1" applyNumberFormat="1">
      <alignment shrinkToFit="0" vertical="center" wrapText="0"/>
    </xf>
    <xf borderId="19" fillId="0" fontId="3" numFmtId="164" xfId="0" applyAlignment="1" applyBorder="1" applyFont="1" applyNumberFormat="1">
      <alignment shrinkToFit="0" vertical="center" wrapText="0"/>
    </xf>
    <xf borderId="10" fillId="0" fontId="6" numFmtId="3" xfId="0" applyAlignment="1" applyBorder="1" applyFont="1" applyNumberForma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0"/>
    </xf>
    <xf borderId="25" fillId="5" fontId="3" numFmtId="9" xfId="0" applyAlignment="1" applyBorder="1" applyFont="1" applyNumberFormat="1">
      <alignment shrinkToFit="0" vertical="center" wrapText="0"/>
    </xf>
    <xf borderId="6" fillId="0" fontId="3" numFmtId="0" xfId="0" applyAlignment="1" applyBorder="1" applyFont="1">
      <alignment shrinkToFit="0" vertical="center" wrapText="0"/>
    </xf>
    <xf borderId="23" fillId="0" fontId="3" numFmtId="3" xfId="0" applyAlignment="1" applyBorder="1" applyFont="1" applyNumberFormat="1">
      <alignment shrinkToFit="0" vertical="center" wrapText="0"/>
    </xf>
    <xf borderId="0" fillId="0" fontId="4" numFmtId="0" xfId="0" applyAlignment="1" applyFont="1">
      <alignment shrinkToFit="0" vertical="center" wrapText="0"/>
    </xf>
    <xf borderId="10" fillId="0" fontId="4" numFmtId="3" xfId="0" applyAlignment="1" applyBorder="1" applyFont="1" applyNumberFormat="1">
      <alignment shrinkToFit="0" vertical="center" wrapText="0"/>
    </xf>
    <xf borderId="0" fillId="0" fontId="4" numFmtId="164" xfId="0" applyAlignment="1" applyFont="1" applyNumberFormat="1">
      <alignment shrinkToFit="0" vertical="center" wrapText="0"/>
    </xf>
    <xf borderId="19" fillId="0" fontId="3" numFmtId="3" xfId="0" applyAlignment="1" applyBorder="1" applyFont="1" applyNumberFormat="1">
      <alignment shrinkToFit="0" vertical="center" wrapText="0"/>
    </xf>
    <xf borderId="0" fillId="0" fontId="3" numFmtId="3" xfId="0" applyAlignment="1" applyFont="1" applyNumberFormat="1">
      <alignment shrinkToFit="0" vertical="center" wrapText="0"/>
    </xf>
    <xf borderId="19" fillId="0" fontId="6" numFmtId="0" xfId="0" applyAlignment="1" applyBorder="1" applyFont="1">
      <alignment horizontal="center" shrinkToFit="0" vertical="center" wrapText="0"/>
    </xf>
    <xf borderId="12" fillId="2" fontId="10" numFmtId="0" xfId="0" applyAlignment="1" applyBorder="1" applyFont="1">
      <alignment shrinkToFit="0" vertical="center" wrapText="0"/>
    </xf>
    <xf borderId="13" fillId="2" fontId="3" numFmtId="0" xfId="0" applyAlignment="1" applyBorder="1" applyFont="1">
      <alignment shrinkToFit="0" vertical="center" wrapText="0"/>
    </xf>
    <xf borderId="14" fillId="2" fontId="4" numFmtId="3" xfId="0" applyAlignment="1" applyBorder="1" applyFont="1" applyNumberFormat="1">
      <alignment horizontal="center" shrinkToFit="0" vertical="center" wrapText="0"/>
    </xf>
    <xf borderId="20" fillId="2" fontId="4" numFmtId="3" xfId="0" applyAlignment="1" applyBorder="1" applyFont="1" applyNumberFormat="1">
      <alignment horizontal="center" shrinkToFit="0" vertical="center" wrapText="0"/>
    </xf>
    <xf borderId="26" fillId="5" fontId="3" numFmtId="164" xfId="0" applyAlignment="1" applyBorder="1" applyFont="1" applyNumberFormat="1">
      <alignment shrinkToFit="0" vertical="center" wrapText="0"/>
    </xf>
    <xf borderId="10" fillId="0" fontId="4" numFmtId="164" xfId="0" applyAlignment="1" applyBorder="1" applyFont="1" applyNumberFormat="1">
      <alignment shrinkToFit="0" vertical="center" wrapText="0"/>
    </xf>
    <xf borderId="18" fillId="0" fontId="3" numFmtId="166" xfId="0" applyAlignment="1" applyBorder="1" applyFont="1" applyNumberFormat="1">
      <alignment horizontal="center" shrinkToFit="0" vertical="center" wrapText="0"/>
    </xf>
    <xf borderId="24" fillId="5" fontId="3" numFmtId="164" xfId="0" applyAlignment="1" applyBorder="1" applyFont="1" applyNumberFormat="1">
      <alignment shrinkToFit="0" vertical="center" wrapText="0"/>
    </xf>
    <xf borderId="25" fillId="5" fontId="3" numFmtId="165" xfId="0" applyAlignment="1" applyBorder="1" applyFont="1" applyNumberFormat="1">
      <alignment horizontal="center" shrinkToFit="0" vertical="center" wrapText="0"/>
    </xf>
    <xf borderId="19" fillId="0" fontId="4" numFmtId="164" xfId="0" applyAlignment="1" applyBorder="1" applyFont="1" applyNumberFormat="1">
      <alignment shrinkToFit="0" vertical="center" wrapText="0"/>
    </xf>
    <xf borderId="14" fillId="0" fontId="4" numFmtId="164" xfId="0" applyAlignment="1" applyBorder="1" applyFont="1" applyNumberFormat="1">
      <alignment shrinkToFit="0" vertical="center" wrapText="0"/>
    </xf>
    <xf borderId="27" fillId="0" fontId="4" numFmtId="164" xfId="0" applyAlignment="1" applyBorder="1" applyFont="1" applyNumberFormat="1">
      <alignment shrinkToFit="0" vertical="center" wrapText="0"/>
    </xf>
    <xf borderId="10" fillId="0" fontId="11" numFmtId="165" xfId="0" applyAlignment="1" applyBorder="1" applyFont="1" applyNumberFormat="1">
      <alignment horizontal="center" shrinkToFit="0" vertical="center" wrapText="0"/>
    </xf>
    <xf borderId="0" fillId="0" fontId="6" numFmtId="0" xfId="0" applyAlignment="1" applyFont="1">
      <alignment shrinkToFit="0" vertical="center" wrapText="0"/>
    </xf>
    <xf borderId="15" fillId="0" fontId="10" numFmtId="0" xfId="0" applyAlignment="1" applyBorder="1" applyFont="1">
      <alignment horizontal="left" shrinkToFit="0" vertical="center" wrapText="0"/>
    </xf>
    <xf borderId="6" fillId="0" fontId="12" numFmtId="0" xfId="0" applyAlignment="1" applyBorder="1" applyFont="1">
      <alignment shrinkToFit="0" vertical="center" wrapText="0"/>
    </xf>
    <xf borderId="8" fillId="0" fontId="10" numFmtId="164" xfId="0" applyAlignment="1" applyBorder="1" applyFont="1" applyNumberFormat="1">
      <alignment horizontal="center" shrinkToFit="0" vertical="center" wrapText="0"/>
    </xf>
    <xf borderId="8" fillId="0" fontId="8" numFmtId="0" xfId="0" applyAlignment="1" applyBorder="1" applyFont="1">
      <alignment horizontal="center" shrinkToFit="0" vertical="center" wrapText="0"/>
    </xf>
    <xf borderId="18" fillId="0" fontId="2" numFmtId="0" xfId="0" applyBorder="1" applyFont="1"/>
    <xf borderId="18" fillId="0" fontId="12" numFmtId="0" xfId="0" applyAlignment="1" applyBorder="1" applyFont="1">
      <alignment shrinkToFit="0" vertical="center" wrapText="0"/>
    </xf>
    <xf borderId="19" fillId="0" fontId="8" numFmtId="0" xfId="0" applyAlignment="1" applyBorder="1" applyFont="1">
      <alignment horizontal="center" shrinkToFit="0" vertical="center" wrapText="0"/>
    </xf>
    <xf borderId="12" fillId="4" fontId="4" numFmtId="0" xfId="0" applyAlignment="1" applyBorder="1" applyFont="1">
      <alignment horizontal="left" shrinkToFit="0" vertical="center" wrapText="0"/>
    </xf>
    <xf borderId="13" fillId="4" fontId="4" numFmtId="0" xfId="0" applyAlignment="1" applyBorder="1" applyFont="1">
      <alignment horizontal="left" shrinkToFit="0" vertical="center" wrapText="0"/>
    </xf>
    <xf borderId="13" fillId="4" fontId="12" numFmtId="0" xfId="0" applyAlignment="1" applyBorder="1" applyFont="1">
      <alignment shrinkToFit="0" vertical="center" wrapText="0"/>
    </xf>
    <xf borderId="13" fillId="4" fontId="12" numFmtId="3" xfId="0" applyAlignment="1" applyBorder="1" applyFont="1" applyNumberFormat="1">
      <alignment shrinkToFit="0" vertical="center" wrapText="0"/>
    </xf>
    <xf borderId="13" fillId="4" fontId="4" numFmtId="166" xfId="0" applyAlignment="1" applyBorder="1" applyFont="1" applyNumberFormat="1">
      <alignment horizontal="center" shrinkToFit="0" vertical="center" wrapText="0"/>
    </xf>
    <xf borderId="20" fillId="4" fontId="8" numFmtId="0" xfId="0" applyAlignment="1" applyBorder="1" applyFont="1">
      <alignment horizontal="center" shrinkToFit="0" vertical="center" wrapText="0"/>
    </xf>
    <xf borderId="1" fillId="2" fontId="10" numFmtId="0" xfId="0" applyAlignment="1" applyBorder="1" applyFont="1">
      <alignment horizontal="left" shrinkToFit="0" vertical="center" wrapText="0"/>
    </xf>
    <xf borderId="0" fillId="0" fontId="13" numFmtId="0" xfId="0" applyAlignment="1" applyFont="1">
      <alignment shrinkToFit="0" vertical="center" wrapText="0"/>
    </xf>
    <xf borderId="0" fillId="0" fontId="3" numFmtId="167" xfId="0" applyAlignment="1" applyFont="1" applyNumberFormat="1">
      <alignment horizontal="center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18" fillId="0" fontId="3" numFmtId="3" xfId="0" applyAlignment="1" applyBorder="1" applyFont="1" applyNumberFormat="1">
      <alignment shrinkToFit="0" vertical="center" wrapText="0"/>
    </xf>
    <xf borderId="0" fillId="0" fontId="4" numFmtId="3" xfId="0" applyAlignment="1" applyFont="1" applyNumberFormat="1">
      <alignment shrinkToFit="0" vertical="center" wrapText="0"/>
    </xf>
    <xf borderId="19" fillId="0" fontId="3" numFmtId="0" xfId="0" applyAlignment="1" applyBorder="1" applyFont="1">
      <alignment shrinkToFit="0" vertical="center" wrapText="0"/>
    </xf>
    <xf borderId="13" fillId="4" fontId="12" numFmtId="0" xfId="0" applyAlignment="1" applyBorder="1" applyFont="1">
      <alignment shrinkToFit="0" vertical="bottom" wrapText="0"/>
    </xf>
    <xf borderId="13" fillId="4" fontId="12" numFmtId="3" xfId="0" applyAlignment="1" applyBorder="1" applyFont="1" applyNumberFormat="1">
      <alignment shrinkToFit="0" vertical="bottom" wrapText="0"/>
    </xf>
    <xf borderId="20" fillId="4" fontId="8" numFmtId="0" xfId="0" applyAlignment="1" applyBorder="1" applyFont="1">
      <alignment horizontal="center" shrinkToFit="0" vertical="bottom" wrapText="0"/>
    </xf>
    <xf borderId="15" fillId="0" fontId="4" numFmtId="0" xfId="0" applyAlignment="1" applyBorder="1" applyFont="1">
      <alignment shrinkToFit="0" vertical="center" wrapText="0"/>
    </xf>
    <xf borderId="6" fillId="0" fontId="12" numFmtId="0" xfId="0" applyAlignment="1" applyBorder="1" applyFont="1">
      <alignment horizontal="left" shrinkToFit="0" vertical="center" wrapText="0"/>
    </xf>
    <xf borderId="16" fillId="6" fontId="4" numFmtId="2" xfId="0" applyAlignment="1" applyBorder="1" applyFill="1" applyFont="1" applyNumberFormat="1">
      <alignment horizontal="center" shrinkToFit="0" vertical="center" wrapText="0"/>
    </xf>
    <xf borderId="8" fillId="0" fontId="8" numFmtId="0" xfId="0" applyAlignment="1" applyBorder="1" applyFont="1">
      <alignment horizontal="center" shrinkToFit="0" vertical="bottom" wrapText="0"/>
    </xf>
    <xf borderId="22" fillId="0" fontId="4" numFmtId="0" xfId="0" applyAlignment="1" applyBorder="1" applyFont="1">
      <alignment shrinkToFit="0" vertical="center" wrapText="0"/>
    </xf>
    <xf borderId="25" fillId="6" fontId="4" numFmtId="3" xfId="0" applyAlignment="1" applyBorder="1" applyFont="1" applyNumberFormat="1">
      <alignment horizontal="center" shrinkToFit="0" vertical="center" wrapText="0"/>
    </xf>
    <xf borderId="19" fillId="0" fontId="8" numFmtId="0" xfId="0" applyAlignment="1" applyBorder="1" applyFont="1">
      <alignment horizontal="center" shrinkToFit="0" vertical="bottom" wrapText="0"/>
    </xf>
    <xf borderId="15" fillId="0" fontId="4" numFmtId="0" xfId="0" applyAlignment="1" applyBorder="1" applyFont="1">
      <alignment horizontal="left" shrinkToFit="0" vertical="center" wrapText="0"/>
    </xf>
    <xf borderId="6" fillId="0" fontId="3" numFmtId="0" xfId="0" applyAlignment="1" applyBorder="1" applyFont="1">
      <alignment horizontal="left" shrinkToFit="0" vertical="center" wrapText="0"/>
    </xf>
    <xf borderId="28" fillId="6" fontId="4" numFmtId="166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readingOrder="0"/>
    </xf>
    <xf borderId="22" fillId="0" fontId="4" numFmtId="0" xfId="0" applyAlignment="1" applyBorder="1" applyFont="1">
      <alignment horizontal="left" shrinkToFit="0" vertical="center" wrapText="0"/>
    </xf>
    <xf borderId="29" fillId="0" fontId="2" numFmtId="0" xfId="0" applyBorder="1" applyFont="1"/>
    <xf borderId="28" fillId="6" fontId="4" numFmtId="10" xfId="0" applyAlignment="1" applyBorder="1" applyFont="1" applyNumberFormat="1">
      <alignment horizontal="center" shrinkToFit="0" vertical="center" wrapText="0"/>
    </xf>
    <xf borderId="30" fillId="6" fontId="4" numFmtId="165" xfId="0" applyAlignment="1" applyBorder="1" applyFont="1" applyNumberFormat="1">
      <alignment horizontal="center" shrinkToFit="0" vertical="center" wrapText="0"/>
    </xf>
    <xf borderId="18" fillId="0" fontId="12" numFmtId="0" xfId="0" applyAlignment="1" applyBorder="1" applyFont="1">
      <alignment horizontal="left" shrinkToFit="0" vertical="center" wrapText="0"/>
    </xf>
    <xf borderId="31" fillId="0" fontId="2" numFmtId="0" xfId="0" applyBorder="1" applyFont="1"/>
    <xf borderId="18" fillId="0" fontId="3" numFmtId="0" xfId="0" applyAlignment="1" applyBorder="1" applyFont="1">
      <alignment horizontal="left" shrinkToFit="0" vertical="center" wrapText="0"/>
    </xf>
    <xf borderId="17" fillId="0" fontId="4" numFmtId="0" xfId="0" applyAlignment="1" applyBorder="1" applyFont="1">
      <alignment horizontal="left" shrinkToFit="0" vertical="center" wrapText="0"/>
    </xf>
    <xf borderId="0" fillId="0" fontId="12" numFmtId="0" xfId="0" applyAlignment="1" applyFont="1">
      <alignment horizontal="left" shrinkToFit="0" vertical="center" wrapText="0"/>
    </xf>
    <xf borderId="32" fillId="6" fontId="4" numFmtId="165" xfId="0" applyAlignment="1" applyBorder="1" applyFont="1" applyNumberFormat="1">
      <alignment horizontal="center" shrinkToFit="0" vertical="center" wrapText="0"/>
    </xf>
    <xf borderId="32" fillId="6" fontId="4" numFmtId="166" xfId="0" applyAlignment="1" applyBorder="1" applyFont="1" applyNumberFormat="1">
      <alignment horizontal="center" shrinkToFit="0" vertical="center" wrapText="0"/>
    </xf>
    <xf borderId="8" fillId="0" fontId="3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28" fillId="6" fontId="4" numFmtId="165" xfId="0" applyAlignment="1" applyBorder="1" applyFont="1" applyNumberFormat="1">
      <alignment horizontal="center" shrinkToFit="0" vertical="center" wrapText="0"/>
    </xf>
    <xf borderId="8" fillId="0" fontId="6" numFmtId="0" xfId="0" applyAlignment="1" applyBorder="1" applyFont="1">
      <alignment horizontal="center" shrinkToFit="0" vertical="center" wrapText="0"/>
    </xf>
    <xf borderId="1" fillId="4" fontId="3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29.14"/>
    <col customWidth="1" min="3" max="3" width="10.71"/>
    <col customWidth="1" min="4" max="4" width="10.0"/>
    <col customWidth="1" min="5" max="5" width="11.0"/>
    <col customWidth="1" min="6" max="6" width="14.71"/>
    <col customWidth="1" min="7" max="7" width="13.43"/>
    <col customWidth="1" min="8" max="8" width="32.0"/>
    <col customWidth="1" min="9" max="9" width="8.86"/>
    <col customWidth="1" min="10" max="26" width="10.0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3"/>
    </row>
    <row r="2" ht="12.75" customHeight="1">
      <c r="A2" s="4"/>
      <c r="B2" s="5"/>
      <c r="C2" s="6"/>
      <c r="D2" s="7"/>
      <c r="E2" s="7"/>
      <c r="F2" s="7"/>
      <c r="G2" s="8"/>
      <c r="H2" s="9" t="s">
        <v>1</v>
      </c>
      <c r="J2" s="10" t="s">
        <v>2</v>
      </c>
    </row>
    <row r="3" ht="12.75" customHeight="1">
      <c r="A3" s="11"/>
      <c r="B3" s="12" t="s">
        <v>3</v>
      </c>
      <c r="C3" s="13"/>
      <c r="G3" s="14"/>
      <c r="H3" s="15"/>
    </row>
    <row r="4" ht="14.25" customHeight="1">
      <c r="A4" s="16"/>
      <c r="B4" s="17" t="s">
        <v>4</v>
      </c>
      <c r="C4" s="13"/>
      <c r="G4" s="14"/>
      <c r="H4" s="18"/>
    </row>
    <row r="5" ht="3.75" customHeight="1">
      <c r="A5" s="19"/>
      <c r="B5" s="20"/>
      <c r="C5" s="21"/>
      <c r="D5" s="21"/>
      <c r="E5" s="21"/>
      <c r="F5" s="21"/>
      <c r="G5" s="21"/>
      <c r="H5" s="22"/>
    </row>
    <row r="6" ht="12.75" customHeight="1">
      <c r="A6" s="23"/>
      <c r="B6" s="24" t="s">
        <v>5</v>
      </c>
      <c r="C6" s="24"/>
      <c r="D6" s="24"/>
      <c r="E6" s="25"/>
      <c r="F6" s="26"/>
      <c r="G6" s="27"/>
      <c r="H6" s="28" t="s">
        <v>6</v>
      </c>
    </row>
    <row r="7" ht="12.75" customHeight="1">
      <c r="A7" s="29"/>
      <c r="B7" s="30" t="s">
        <v>7</v>
      </c>
      <c r="C7" s="30"/>
      <c r="D7" s="30"/>
      <c r="E7" s="30"/>
      <c r="F7" s="31"/>
      <c r="G7" s="30"/>
      <c r="H7" s="32"/>
    </row>
    <row r="8" ht="12.75" customHeight="1">
      <c r="A8" s="29"/>
      <c r="B8" s="30" t="s">
        <v>8</v>
      </c>
      <c r="C8" s="30"/>
      <c r="D8" s="30"/>
      <c r="E8" s="30"/>
      <c r="F8" s="33">
        <v>1.0</v>
      </c>
      <c r="G8" s="30"/>
      <c r="H8" s="32"/>
    </row>
    <row r="9" ht="12.75" customHeight="1">
      <c r="A9" s="29"/>
      <c r="B9" s="30" t="s">
        <v>9</v>
      </c>
      <c r="C9" s="30"/>
      <c r="D9" s="30"/>
      <c r="E9" s="30"/>
      <c r="F9" s="34">
        <v>429000.0</v>
      </c>
      <c r="G9" s="35"/>
      <c r="H9" s="36"/>
    </row>
    <row r="10" ht="12.75" customHeight="1">
      <c r="A10" s="29"/>
      <c r="B10" s="30" t="s">
        <v>10</v>
      </c>
      <c r="C10" s="30"/>
      <c r="D10" s="30"/>
      <c r="E10" s="37">
        <v>0.25</v>
      </c>
      <c r="F10" s="38">
        <f>+F9*E10</f>
        <v>107250</v>
      </c>
      <c r="G10" s="35"/>
      <c r="H10" s="36"/>
    </row>
    <row r="11" ht="12.75" customHeight="1">
      <c r="A11" s="29"/>
      <c r="B11" s="30" t="s">
        <v>11</v>
      </c>
      <c r="C11" s="30"/>
      <c r="D11" s="39" t="s">
        <v>12</v>
      </c>
      <c r="E11" s="39" t="s">
        <v>13</v>
      </c>
      <c r="F11" s="38">
        <f>+F9-F10</f>
        <v>321750</v>
      </c>
      <c r="G11" s="35"/>
      <c r="H11" s="36"/>
    </row>
    <row r="12" ht="12.75" customHeight="1">
      <c r="A12" s="29"/>
      <c r="B12" s="30" t="s">
        <v>14</v>
      </c>
      <c r="C12" s="30"/>
      <c r="D12" s="25">
        <v>30.0</v>
      </c>
      <c r="E12" s="40">
        <v>0.035</v>
      </c>
      <c r="F12" s="38">
        <f>+G12*12</f>
        <v>-17337.6154</v>
      </c>
      <c r="G12" s="38">
        <f>PMT(E12/12,D12*12,F11,0)</f>
        <v>-1444.801283</v>
      </c>
      <c r="H12" s="36"/>
    </row>
    <row r="13" ht="13.5" customHeight="1">
      <c r="A13" s="29"/>
      <c r="B13" s="30" t="s">
        <v>15</v>
      </c>
      <c r="C13" s="30"/>
      <c r="D13" s="30"/>
      <c r="E13" s="41"/>
      <c r="F13" s="38">
        <f>+F11*E12</f>
        <v>11261.25</v>
      </c>
      <c r="G13" s="35"/>
      <c r="H13" s="36"/>
    </row>
    <row r="14" ht="12.0" customHeight="1">
      <c r="A14" s="29"/>
      <c r="B14" s="30" t="s">
        <v>16</v>
      </c>
      <c r="C14" s="30"/>
      <c r="D14" s="30"/>
      <c r="E14" s="41"/>
      <c r="F14" s="38">
        <f>-F12-F13</f>
        <v>6076.365396</v>
      </c>
      <c r="G14" s="35"/>
      <c r="H14" s="42"/>
    </row>
    <row r="15" ht="15.75" customHeight="1">
      <c r="A15" s="29"/>
      <c r="B15" s="30" t="s">
        <v>17</v>
      </c>
      <c r="C15" s="30"/>
      <c r="D15" s="30"/>
      <c r="E15" s="34">
        <v>20000.0</v>
      </c>
      <c r="F15" s="38">
        <f>+E15</f>
        <v>20000</v>
      </c>
      <c r="G15" s="35"/>
      <c r="H15" s="43"/>
    </row>
    <row r="16" ht="13.5" hidden="1" customHeight="1">
      <c r="A16" s="29"/>
      <c r="B16" s="30"/>
      <c r="C16" s="30"/>
      <c r="D16" s="30"/>
      <c r="E16" s="41"/>
      <c r="F16" s="38"/>
      <c r="G16" s="35"/>
      <c r="H16" s="36" t="s">
        <v>18</v>
      </c>
    </row>
    <row r="17" ht="12.75" customHeight="1">
      <c r="A17" s="29"/>
      <c r="B17" s="30" t="s">
        <v>19</v>
      </c>
      <c r="C17" s="30"/>
      <c r="D17" s="30"/>
      <c r="E17" s="44">
        <v>0.02</v>
      </c>
      <c r="F17" s="38">
        <f>E17*F11</f>
        <v>6435</v>
      </c>
      <c r="G17" s="35"/>
      <c r="H17" s="36"/>
    </row>
    <row r="18" ht="12.75" hidden="1" customHeight="1">
      <c r="A18" s="29"/>
      <c r="B18" s="30"/>
      <c r="C18" s="30"/>
      <c r="D18" s="30"/>
      <c r="E18" s="45">
        <v>0.0</v>
      </c>
      <c r="F18" s="38">
        <v>0.0</v>
      </c>
      <c r="G18" s="35"/>
      <c r="H18" s="42"/>
    </row>
    <row r="19" ht="12.75" customHeight="1">
      <c r="A19" s="29"/>
      <c r="B19" s="30" t="s">
        <v>20</v>
      </c>
      <c r="C19" s="30"/>
      <c r="D19" s="30"/>
      <c r="E19" s="41"/>
      <c r="F19" s="38">
        <f>F10+F15+F17+F18</f>
        <v>133685</v>
      </c>
      <c r="G19" s="35"/>
      <c r="H19" s="42"/>
    </row>
    <row r="20" ht="12.75" customHeight="1">
      <c r="A20" s="29"/>
      <c r="B20" s="30" t="s">
        <v>21</v>
      </c>
      <c r="C20" s="30"/>
      <c r="D20" s="30"/>
      <c r="E20" s="41"/>
      <c r="F20" s="46">
        <v>0.15</v>
      </c>
      <c r="G20" s="35"/>
      <c r="H20" s="36"/>
    </row>
    <row r="21" ht="7.5" customHeight="1">
      <c r="A21" s="29"/>
      <c r="B21" s="30"/>
      <c r="C21" s="30"/>
      <c r="D21" s="30"/>
      <c r="E21" s="41"/>
      <c r="F21" s="38"/>
      <c r="G21" s="35"/>
      <c r="H21" s="47"/>
    </row>
    <row r="22" ht="3.75" customHeight="1">
      <c r="A22" s="48"/>
      <c r="B22" s="49"/>
      <c r="C22" s="49"/>
      <c r="D22" s="49"/>
      <c r="E22" s="49"/>
      <c r="F22" s="49"/>
      <c r="G22" s="50"/>
      <c r="H22" s="51"/>
    </row>
    <row r="23" ht="12.75" customHeight="1">
      <c r="A23" s="52" t="s">
        <v>22</v>
      </c>
      <c r="B23" s="8"/>
      <c r="C23" s="53" t="s">
        <v>23</v>
      </c>
      <c r="D23" s="53" t="s">
        <v>24</v>
      </c>
      <c r="E23" s="53" t="s">
        <v>25</v>
      </c>
      <c r="F23" s="54" t="s">
        <v>26</v>
      </c>
      <c r="G23" s="54" t="s">
        <v>27</v>
      </c>
      <c r="H23" s="54" t="s">
        <v>1</v>
      </c>
    </row>
    <row r="24" ht="12.75" customHeight="1">
      <c r="A24" s="55"/>
      <c r="B24" s="56"/>
      <c r="C24" s="57" t="s">
        <v>28</v>
      </c>
      <c r="D24" s="57" t="s">
        <v>29</v>
      </c>
      <c r="E24" s="57" t="s">
        <v>30</v>
      </c>
      <c r="F24" s="58"/>
      <c r="G24" s="58"/>
      <c r="H24" s="58"/>
    </row>
    <row r="25" ht="12.75" customHeight="1">
      <c r="A25" s="59"/>
      <c r="B25" s="60" t="s">
        <v>31</v>
      </c>
      <c r="C25" s="31">
        <v>1.0</v>
      </c>
      <c r="D25" s="61">
        <v>2139.0</v>
      </c>
      <c r="E25" s="62">
        <v>1995.0</v>
      </c>
      <c r="F25" s="63">
        <f>+E25</f>
        <v>1995</v>
      </c>
      <c r="G25" s="64">
        <f t="shared" ref="G25:G26" si="1">+F25*12</f>
        <v>23940</v>
      </c>
      <c r="H25" s="65"/>
    </row>
    <row r="26" ht="12.75" customHeight="1">
      <c r="A26" s="59"/>
      <c r="B26" s="66"/>
      <c r="C26" s="67"/>
      <c r="D26" s="68"/>
      <c r="E26" s="69"/>
      <c r="F26" s="70">
        <f t="shared" ref="F26:F27" si="2">+E26*C26</f>
        <v>0</v>
      </c>
      <c r="G26" s="69">
        <f t="shared" si="1"/>
        <v>0</v>
      </c>
      <c r="H26" s="71"/>
    </row>
    <row r="27" ht="12.75" customHeight="1">
      <c r="A27" s="72"/>
      <c r="B27" s="73"/>
      <c r="C27" s="39"/>
      <c r="D27" s="39"/>
      <c r="E27" s="74"/>
      <c r="F27" s="75">
        <f t="shared" si="2"/>
        <v>0</v>
      </c>
      <c r="G27" s="74">
        <f>+C27*E27*12</f>
        <v>0</v>
      </c>
      <c r="H27" s="76"/>
    </row>
    <row r="28" ht="12.75" customHeight="1">
      <c r="A28" s="72"/>
      <c r="B28" s="66" t="s">
        <v>32</v>
      </c>
      <c r="C28" s="67">
        <f t="shared" ref="C28:D28" si="3">SUM(C25:C27)</f>
        <v>1</v>
      </c>
      <c r="D28" s="68">
        <f t="shared" si="3"/>
        <v>2139</v>
      </c>
      <c r="E28" s="66"/>
      <c r="F28" s="70">
        <f t="shared" ref="F28:F30" si="4">+G28/12</f>
        <v>1995</v>
      </c>
      <c r="G28" s="69">
        <f>SUM(G25:G27)</f>
        <v>23940</v>
      </c>
      <c r="H28" s="77"/>
    </row>
    <row r="29" ht="12.75" customHeight="1">
      <c r="A29" s="72"/>
      <c r="B29" s="73" t="s">
        <v>33</v>
      </c>
      <c r="C29" s="73"/>
      <c r="D29" s="73"/>
      <c r="E29" s="78">
        <v>0.03</v>
      </c>
      <c r="F29" s="75">
        <f t="shared" si="4"/>
        <v>-59.85</v>
      </c>
      <c r="G29" s="74">
        <f>+G28*-E29</f>
        <v>-718.2</v>
      </c>
      <c r="H29" s="77"/>
    </row>
    <row r="30" ht="12.75" customHeight="1">
      <c r="A30" s="72"/>
      <c r="B30" s="79" t="s">
        <v>34</v>
      </c>
      <c r="C30" s="79"/>
      <c r="D30" s="79"/>
      <c r="E30" s="79"/>
      <c r="F30" s="70">
        <f t="shared" si="4"/>
        <v>1935.15</v>
      </c>
      <c r="G30" s="69">
        <f>SUM(G28:G29)</f>
        <v>23221.8</v>
      </c>
      <c r="H30" s="77"/>
    </row>
    <row r="31" ht="12.75" customHeight="1">
      <c r="A31" s="72"/>
      <c r="B31" s="73" t="s">
        <v>35</v>
      </c>
      <c r="C31" s="73"/>
      <c r="D31" s="73"/>
      <c r="E31" s="73"/>
      <c r="F31" s="75">
        <v>0.0</v>
      </c>
      <c r="G31" s="80"/>
      <c r="H31" s="77"/>
    </row>
    <row r="32" ht="15.0" customHeight="1">
      <c r="A32" s="72"/>
      <c r="B32" s="81" t="s">
        <v>36</v>
      </c>
      <c r="C32" s="81"/>
      <c r="D32" s="81"/>
      <c r="E32" s="66"/>
      <c r="F32" s="82">
        <f>+G32/12</f>
        <v>1935.15</v>
      </c>
      <c r="G32" s="83">
        <f>+G31+G30</f>
        <v>23221.8</v>
      </c>
      <c r="H32" s="77"/>
    </row>
    <row r="33" ht="9.0" customHeight="1">
      <c r="A33" s="72"/>
      <c r="B33" s="66"/>
      <c r="C33" s="66"/>
      <c r="D33" s="66"/>
      <c r="E33" s="66"/>
      <c r="F33" s="84"/>
      <c r="G33" s="85"/>
      <c r="H33" s="86"/>
    </row>
    <row r="34" ht="18.0" customHeight="1">
      <c r="A34" s="87" t="s">
        <v>37</v>
      </c>
      <c r="B34" s="88"/>
      <c r="C34" s="88"/>
      <c r="D34" s="88"/>
      <c r="E34" s="88"/>
      <c r="F34" s="89" t="s">
        <v>26</v>
      </c>
      <c r="G34" s="90" t="s">
        <v>27</v>
      </c>
      <c r="H34" s="89" t="s">
        <v>1</v>
      </c>
    </row>
    <row r="35" ht="12.75" customHeight="1">
      <c r="A35" s="59"/>
      <c r="B35" s="66" t="s">
        <v>38</v>
      </c>
      <c r="C35" s="66"/>
      <c r="D35" s="66"/>
      <c r="E35" s="66"/>
      <c r="F35" s="70">
        <f t="shared" ref="F35:F39" si="5">+G35/12</f>
        <v>0</v>
      </c>
      <c r="G35" s="91">
        <v>0.0</v>
      </c>
      <c r="H35" s="77" t="s">
        <v>39</v>
      </c>
    </row>
    <row r="36" ht="12.75" customHeight="1">
      <c r="A36" s="59"/>
      <c r="B36" s="66" t="s">
        <v>40</v>
      </c>
      <c r="C36" s="66"/>
      <c r="D36" s="66"/>
      <c r="E36" s="66"/>
      <c r="F36" s="70">
        <f t="shared" si="5"/>
        <v>0</v>
      </c>
      <c r="G36" s="91">
        <v>0.0</v>
      </c>
      <c r="H36" s="77" t="s">
        <v>39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2.75" customHeight="1">
      <c r="A37" s="59"/>
      <c r="B37" s="66" t="s">
        <v>41</v>
      </c>
      <c r="C37" s="66"/>
      <c r="D37" s="66"/>
      <c r="E37" s="66"/>
      <c r="F37" s="70">
        <f t="shared" si="5"/>
        <v>0</v>
      </c>
      <c r="G37" s="91">
        <v>0.0</v>
      </c>
      <c r="H37" s="77" t="s">
        <v>39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2.75" customHeight="1">
      <c r="A38" s="59"/>
      <c r="B38" s="66" t="s">
        <v>42</v>
      </c>
      <c r="C38" s="66"/>
      <c r="D38" s="66"/>
      <c r="E38" s="66"/>
      <c r="F38" s="70">
        <f t="shared" si="5"/>
        <v>0</v>
      </c>
      <c r="G38" s="91">
        <v>0.0</v>
      </c>
      <c r="H38" s="77" t="s">
        <v>39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2.75" customHeight="1">
      <c r="A39" s="59"/>
      <c r="B39" s="66" t="s">
        <v>43</v>
      </c>
      <c r="C39" s="66"/>
      <c r="D39" s="66"/>
      <c r="E39" s="66"/>
      <c r="F39" s="70">
        <f t="shared" si="5"/>
        <v>8.333333333</v>
      </c>
      <c r="G39" s="91">
        <v>100.0</v>
      </c>
      <c r="H39" s="77" t="s">
        <v>44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2.75" customHeight="1">
      <c r="A40" s="72"/>
      <c r="B40" s="73"/>
      <c r="C40" s="73"/>
      <c r="D40" s="73"/>
      <c r="E40" s="73"/>
      <c r="F40" s="75"/>
      <c r="G40" s="75"/>
      <c r="H40" s="86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2.75" customHeight="1">
      <c r="A41" s="72"/>
      <c r="B41" s="81" t="s">
        <v>45</v>
      </c>
      <c r="C41" s="66"/>
      <c r="D41" s="66"/>
      <c r="E41" s="66"/>
      <c r="F41" s="92">
        <f t="shared" ref="F41:G41" si="6">SUM(F35:F40)</f>
        <v>8.333333333</v>
      </c>
      <c r="G41" s="92">
        <f t="shared" si="6"/>
        <v>100</v>
      </c>
      <c r="H41" s="77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2.75" customHeight="1">
      <c r="A42" s="72"/>
      <c r="B42" s="66" t="s">
        <v>46</v>
      </c>
      <c r="C42" s="66"/>
      <c r="D42" s="66"/>
      <c r="E42" s="66"/>
      <c r="F42" s="70">
        <f t="shared" ref="F42:F45" si="7">+G42/12</f>
        <v>14.58333333</v>
      </c>
      <c r="G42" s="91">
        <v>175.0</v>
      </c>
      <c r="H42" s="77" t="s">
        <v>47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2.75" customHeight="1">
      <c r="A43" s="72"/>
      <c r="B43" s="66" t="s">
        <v>48</v>
      </c>
      <c r="C43" s="66"/>
      <c r="D43" s="66"/>
      <c r="E43" s="66"/>
      <c r="F43" s="70">
        <f t="shared" si="7"/>
        <v>20.83333333</v>
      </c>
      <c r="G43" s="91">
        <v>250.0</v>
      </c>
      <c r="H43" s="77" t="s">
        <v>49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2.75" customHeight="1">
      <c r="A44" s="72"/>
      <c r="B44" s="73" t="s">
        <v>50</v>
      </c>
      <c r="C44" s="73"/>
      <c r="D44" s="73"/>
      <c r="E44" s="93"/>
      <c r="F44" s="75">
        <f t="shared" si="7"/>
        <v>100</v>
      </c>
      <c r="G44" s="94">
        <v>1200.0</v>
      </c>
      <c r="H44" s="86" t="s">
        <v>44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2.75" customHeight="1">
      <c r="A45" s="72"/>
      <c r="B45" s="81" t="s">
        <v>51</v>
      </c>
      <c r="C45" s="66"/>
      <c r="D45" s="66"/>
      <c r="E45" s="66"/>
      <c r="F45" s="92">
        <f t="shared" si="7"/>
        <v>120.8333333</v>
      </c>
      <c r="G45" s="92">
        <f>+G44+G43</f>
        <v>1450</v>
      </c>
      <c r="H45" s="77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9.75" customHeight="1">
      <c r="A46" s="72"/>
      <c r="B46" s="66"/>
      <c r="C46" s="66"/>
      <c r="D46" s="66"/>
      <c r="E46" s="66"/>
      <c r="F46" s="70"/>
      <c r="G46" s="70"/>
      <c r="H46" s="77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2.75" customHeight="1">
      <c r="A47" s="72"/>
      <c r="B47" s="66" t="s">
        <v>52</v>
      </c>
      <c r="C47" s="66"/>
      <c r="D47" s="66"/>
      <c r="E47" s="69"/>
      <c r="F47" s="70">
        <f t="shared" ref="F47:F51" si="8">+G47/12</f>
        <v>12.5</v>
      </c>
      <c r="G47" s="91">
        <v>150.0</v>
      </c>
      <c r="H47" s="77" t="s">
        <v>53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2.75" customHeight="1">
      <c r="A48" s="72"/>
      <c r="B48" s="66" t="s">
        <v>54</v>
      </c>
      <c r="C48" s="66"/>
      <c r="D48" s="66"/>
      <c r="E48" s="66"/>
      <c r="F48" s="70">
        <f t="shared" si="8"/>
        <v>308.3333333</v>
      </c>
      <c r="G48" s="91">
        <v>3700.0</v>
      </c>
      <c r="H48" s="77" t="s">
        <v>55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2.75" customHeight="1">
      <c r="A49" s="72"/>
      <c r="B49" s="66" t="s">
        <v>56</v>
      </c>
      <c r="C49" s="66"/>
      <c r="D49" s="66"/>
      <c r="E49" s="66"/>
      <c r="F49" s="70">
        <f t="shared" si="8"/>
        <v>45.83333333</v>
      </c>
      <c r="G49" s="91">
        <v>550.0</v>
      </c>
      <c r="H49" s="77" t="s">
        <v>44</v>
      </c>
    </row>
    <row r="50" ht="12.75" customHeight="1">
      <c r="A50" s="72"/>
      <c r="B50" s="73" t="s">
        <v>57</v>
      </c>
      <c r="C50" s="73"/>
      <c r="D50" s="73"/>
      <c r="E50" s="95">
        <v>0.08</v>
      </c>
      <c r="F50" s="96">
        <f t="shared" si="8"/>
        <v>154.812</v>
      </c>
      <c r="G50" s="96">
        <f>+G32*E50</f>
        <v>1857.744</v>
      </c>
      <c r="H50" s="86" t="s">
        <v>44</v>
      </c>
    </row>
    <row r="51" ht="12.75" customHeight="1">
      <c r="A51" s="72"/>
      <c r="B51" s="81" t="s">
        <v>58</v>
      </c>
      <c r="C51" s="66"/>
      <c r="D51" s="66"/>
      <c r="E51" s="66"/>
      <c r="F51" s="97">
        <f t="shared" si="8"/>
        <v>521.4786667</v>
      </c>
      <c r="G51" s="96">
        <f>SUM(G47:G50)</f>
        <v>6257.744</v>
      </c>
      <c r="H51" s="77"/>
    </row>
    <row r="52" ht="12.75" customHeight="1">
      <c r="A52" s="72"/>
      <c r="B52" s="66"/>
      <c r="C52" s="66"/>
      <c r="D52" s="66"/>
      <c r="E52" s="66"/>
      <c r="F52" s="70"/>
      <c r="G52" s="70"/>
      <c r="H52" s="77"/>
    </row>
    <row r="53" ht="17.25" customHeight="1">
      <c r="A53" s="72"/>
      <c r="B53" s="81" t="s">
        <v>59</v>
      </c>
      <c r="C53" s="81"/>
      <c r="D53" s="81"/>
      <c r="E53" s="66"/>
      <c r="F53" s="98">
        <f>+G53/12</f>
        <v>650.6453333</v>
      </c>
      <c r="G53" s="98">
        <f>+G51+G45+G41</f>
        <v>7807.744</v>
      </c>
      <c r="H53" s="99"/>
    </row>
    <row r="54" ht="13.5" customHeight="1">
      <c r="A54" s="72"/>
      <c r="B54" s="100"/>
      <c r="C54" s="66"/>
      <c r="D54" s="66"/>
      <c r="E54" s="66"/>
      <c r="F54" s="70"/>
      <c r="G54" s="70"/>
      <c r="H54" s="77"/>
    </row>
    <row r="55" ht="12.75" customHeight="1">
      <c r="A55" s="101" t="s">
        <v>60</v>
      </c>
      <c r="B55" s="7"/>
      <c r="C55" s="7"/>
      <c r="D55" s="102"/>
      <c r="E55" s="102"/>
      <c r="F55" s="103">
        <f>+G55/12</f>
        <v>1284.504667</v>
      </c>
      <c r="G55" s="103">
        <f>G32-G53</f>
        <v>15414.056</v>
      </c>
      <c r="H55" s="104"/>
    </row>
    <row r="56" ht="12.75" customHeight="1">
      <c r="A56" s="55"/>
      <c r="B56" s="105"/>
      <c r="C56" s="105"/>
      <c r="D56" s="106"/>
      <c r="E56" s="106"/>
      <c r="F56" s="58"/>
      <c r="G56" s="58"/>
      <c r="H56" s="107"/>
    </row>
    <row r="57" ht="6.0" customHeight="1">
      <c r="A57" s="108"/>
      <c r="B57" s="109"/>
      <c r="C57" s="110"/>
      <c r="D57" s="110"/>
      <c r="E57" s="110"/>
      <c r="F57" s="111"/>
      <c r="G57" s="112"/>
      <c r="H57" s="113"/>
    </row>
    <row r="58" ht="19.5" customHeight="1">
      <c r="A58" s="114" t="s">
        <v>61</v>
      </c>
      <c r="B58" s="2"/>
      <c r="C58" s="2"/>
      <c r="D58" s="2"/>
      <c r="E58" s="2"/>
      <c r="F58" s="2"/>
      <c r="G58" s="3"/>
      <c r="H58" s="89" t="s">
        <v>1</v>
      </c>
    </row>
    <row r="59" ht="12.0" customHeight="1">
      <c r="A59" s="72"/>
      <c r="B59" s="66" t="s">
        <v>62</v>
      </c>
      <c r="C59" s="66"/>
      <c r="D59" s="66"/>
      <c r="E59" s="66"/>
      <c r="F59" s="85"/>
      <c r="G59" s="63">
        <f>G55</f>
        <v>15414.056</v>
      </c>
      <c r="H59" s="43"/>
    </row>
    <row r="60" ht="12.0" customHeight="1">
      <c r="A60" s="72"/>
      <c r="B60" s="66" t="s">
        <v>63</v>
      </c>
      <c r="C60" s="115"/>
      <c r="D60" s="115"/>
      <c r="E60" s="66"/>
      <c r="F60" s="116"/>
      <c r="G60" s="70">
        <f>-F60*F8</f>
        <v>0</v>
      </c>
      <c r="H60" s="117"/>
    </row>
    <row r="61" ht="12.0" customHeight="1">
      <c r="A61" s="72"/>
      <c r="B61" s="73" t="s">
        <v>64</v>
      </c>
      <c r="C61" s="73"/>
      <c r="D61" s="73"/>
      <c r="E61" s="73"/>
      <c r="F61" s="118">
        <f t="shared" ref="F61:F62" si="9">+G61/12</f>
        <v>-1444.801283</v>
      </c>
      <c r="G61" s="70">
        <f>F12</f>
        <v>-17337.6154</v>
      </c>
      <c r="H61" s="43"/>
    </row>
    <row r="62" ht="16.5" customHeight="1">
      <c r="A62" s="72"/>
      <c r="B62" s="81" t="s">
        <v>65</v>
      </c>
      <c r="C62" s="81"/>
      <c r="D62" s="81"/>
      <c r="E62" s="66"/>
      <c r="F62" s="119">
        <f t="shared" si="9"/>
        <v>-160.2966164</v>
      </c>
      <c r="G62" s="97">
        <f>SUM(G59:G61)</f>
        <v>-1923.559396</v>
      </c>
      <c r="H62" s="120"/>
    </row>
    <row r="63" ht="6.0" customHeight="1">
      <c r="A63" s="108"/>
      <c r="B63" s="109"/>
      <c r="C63" s="121"/>
      <c r="D63" s="121"/>
      <c r="E63" s="121"/>
      <c r="F63" s="122"/>
      <c r="G63" s="112"/>
      <c r="H63" s="123"/>
    </row>
    <row r="64" ht="24.0" customHeight="1">
      <c r="A64" s="114" t="s">
        <v>66</v>
      </c>
      <c r="B64" s="2"/>
      <c r="C64" s="2"/>
      <c r="D64" s="2"/>
      <c r="E64" s="2"/>
      <c r="F64" s="2"/>
      <c r="G64" s="3"/>
      <c r="H64" s="89" t="s">
        <v>1</v>
      </c>
    </row>
    <row r="65" ht="15.75" customHeight="1">
      <c r="A65" s="124"/>
      <c r="B65" s="79" t="s">
        <v>67</v>
      </c>
      <c r="C65" s="125" t="s">
        <v>68</v>
      </c>
      <c r="D65" s="7"/>
      <c r="E65" s="7"/>
      <c r="F65" s="7"/>
      <c r="G65" s="126">
        <f>F9/G28</f>
        <v>17.9197995</v>
      </c>
      <c r="H65" s="127"/>
      <c r="J65" s="10" t="s">
        <v>69</v>
      </c>
    </row>
    <row r="66" ht="15.75" customHeight="1">
      <c r="A66" s="128"/>
      <c r="B66" s="73" t="s">
        <v>70</v>
      </c>
      <c r="C66" s="105"/>
      <c r="D66" s="105"/>
      <c r="E66" s="105"/>
      <c r="F66" s="105"/>
      <c r="G66" s="129">
        <f>G65*12</f>
        <v>215.037594</v>
      </c>
      <c r="H66" s="130"/>
      <c r="J66" s="10" t="s">
        <v>71</v>
      </c>
    </row>
    <row r="67" ht="15.75" customHeight="1">
      <c r="A67" s="131"/>
      <c r="B67" s="132" t="s">
        <v>72</v>
      </c>
      <c r="C67" s="125" t="s">
        <v>73</v>
      </c>
      <c r="D67" s="7"/>
      <c r="E67" s="7"/>
      <c r="F67" s="7"/>
      <c r="G67" s="133">
        <f>F9/F8</f>
        <v>429000</v>
      </c>
      <c r="H67" s="127"/>
      <c r="J67" s="134" t="s">
        <v>74</v>
      </c>
    </row>
    <row r="68" ht="15.75" customHeight="1">
      <c r="A68" s="135"/>
      <c r="B68" s="105"/>
      <c r="C68" s="105"/>
      <c r="D68" s="105"/>
      <c r="E68" s="105"/>
      <c r="F68" s="105"/>
      <c r="G68" s="136"/>
      <c r="H68" s="130"/>
    </row>
    <row r="69" ht="15.75" customHeight="1">
      <c r="A69" s="131"/>
      <c r="B69" s="132" t="s">
        <v>75</v>
      </c>
      <c r="C69" s="125" t="s">
        <v>76</v>
      </c>
      <c r="D69" s="7"/>
      <c r="E69" s="7"/>
      <c r="F69" s="7"/>
      <c r="G69" s="137">
        <f>G62/F19</f>
        <v>-0.01438874516</v>
      </c>
      <c r="H69" s="104"/>
    </row>
    <row r="70" ht="15.75" customHeight="1">
      <c r="A70" s="135"/>
      <c r="B70" s="105"/>
      <c r="C70" s="105"/>
      <c r="D70" s="105"/>
      <c r="E70" s="105"/>
      <c r="F70" s="105"/>
      <c r="G70" s="136"/>
      <c r="H70" s="107"/>
    </row>
    <row r="71" ht="15.75" customHeight="1">
      <c r="A71" s="131"/>
      <c r="B71" s="132" t="s">
        <v>77</v>
      </c>
      <c r="C71" s="125" t="s">
        <v>78</v>
      </c>
      <c r="D71" s="7"/>
      <c r="E71" s="7"/>
      <c r="F71" s="7"/>
      <c r="G71" s="138">
        <f>(G62+F14)/F19</f>
        <v>0.0310641134</v>
      </c>
      <c r="H71" s="104" t="s">
        <v>79</v>
      </c>
    </row>
    <row r="72" ht="15.75" customHeight="1">
      <c r="A72" s="135"/>
      <c r="B72" s="105"/>
      <c r="C72" s="139" t="s">
        <v>80</v>
      </c>
      <c r="D72" s="105"/>
      <c r="E72" s="105"/>
      <c r="F72" s="105"/>
      <c r="G72" s="140"/>
      <c r="H72" s="107" t="s">
        <v>81</v>
      </c>
    </row>
    <row r="73" ht="15.75" customHeight="1">
      <c r="A73" s="131"/>
      <c r="B73" s="132" t="s">
        <v>77</v>
      </c>
      <c r="C73" s="125" t="s">
        <v>82</v>
      </c>
      <c r="D73" s="7"/>
      <c r="E73" s="7"/>
      <c r="F73" s="7"/>
      <c r="G73" s="138">
        <f>(G62+F14+(F20*F9))/F19</f>
        <v>0.5124195385</v>
      </c>
      <c r="H73" s="104" t="s">
        <v>79</v>
      </c>
    </row>
    <row r="74" ht="15.75" customHeight="1">
      <c r="A74" s="135"/>
      <c r="B74" s="141" t="s">
        <v>83</v>
      </c>
      <c r="C74" s="139" t="s">
        <v>80</v>
      </c>
      <c r="D74" s="105"/>
      <c r="E74" s="105"/>
      <c r="F74" s="105"/>
      <c r="G74" s="140"/>
      <c r="H74" s="107" t="s">
        <v>81</v>
      </c>
    </row>
    <row r="75" ht="12.75" customHeight="1">
      <c r="A75" s="142"/>
      <c r="B75" s="132" t="s">
        <v>84</v>
      </c>
      <c r="C75" s="143" t="s">
        <v>85</v>
      </c>
      <c r="G75" s="144">
        <f>G53/G32</f>
        <v>0.3362247543</v>
      </c>
      <c r="H75" s="36"/>
    </row>
    <row r="76" ht="12.75" customHeight="1">
      <c r="A76" s="135"/>
      <c r="B76" s="105"/>
      <c r="C76" s="105"/>
      <c r="D76" s="105"/>
      <c r="E76" s="105"/>
      <c r="F76" s="105"/>
      <c r="G76" s="136"/>
      <c r="H76" s="130"/>
    </row>
    <row r="77" ht="12.75" customHeight="1">
      <c r="A77" s="142"/>
      <c r="B77" s="132" t="s">
        <v>86</v>
      </c>
      <c r="C77" s="143" t="s">
        <v>87</v>
      </c>
      <c r="G77" s="145">
        <f>+G53/F8</f>
        <v>7807.744</v>
      </c>
      <c r="H77" s="36"/>
    </row>
    <row r="78" ht="12.75" customHeight="1">
      <c r="A78" s="135"/>
      <c r="B78" s="105"/>
      <c r="C78" s="105"/>
      <c r="D78" s="105"/>
      <c r="E78" s="105"/>
      <c r="F78" s="105"/>
      <c r="G78" s="136"/>
      <c r="H78" s="36"/>
    </row>
    <row r="79" ht="12.75" customHeight="1">
      <c r="A79" s="131"/>
      <c r="B79" s="132" t="s">
        <v>88</v>
      </c>
      <c r="C79" s="125" t="s">
        <v>89</v>
      </c>
      <c r="D79" s="7"/>
      <c r="E79" s="7"/>
      <c r="F79" s="7"/>
      <c r="G79" s="137">
        <f>G55/F9</f>
        <v>0.03593020047</v>
      </c>
      <c r="H79" s="127"/>
    </row>
    <row r="80" ht="12.75" customHeight="1">
      <c r="A80" s="135"/>
      <c r="B80" s="105"/>
      <c r="C80" s="105"/>
      <c r="D80" s="105"/>
      <c r="E80" s="105"/>
      <c r="F80" s="105"/>
      <c r="G80" s="136"/>
      <c r="H80" s="130"/>
    </row>
    <row r="81" ht="12.75" customHeight="1">
      <c r="A81" s="131"/>
      <c r="B81" s="132" t="s">
        <v>90</v>
      </c>
      <c r="C81" s="125" t="s">
        <v>91</v>
      </c>
      <c r="D81" s="7"/>
      <c r="E81" s="7"/>
      <c r="F81" s="7"/>
      <c r="G81" s="137">
        <f>G55/(F9+F15)</f>
        <v>0.0343297461</v>
      </c>
      <c r="H81" s="146"/>
      <c r="I81" s="147"/>
    </row>
    <row r="82" ht="12.75" customHeight="1">
      <c r="A82" s="135"/>
      <c r="B82" s="105"/>
      <c r="C82" s="105"/>
      <c r="D82" s="105"/>
      <c r="E82" s="105"/>
      <c r="F82" s="105"/>
      <c r="G82" s="136"/>
      <c r="H82" s="58"/>
    </row>
    <row r="83" ht="12.75" customHeight="1">
      <c r="A83" s="131"/>
      <c r="B83" s="132" t="s">
        <v>92</v>
      </c>
      <c r="C83" s="125" t="s">
        <v>93</v>
      </c>
      <c r="D83" s="7"/>
      <c r="E83" s="7"/>
      <c r="F83" s="7"/>
      <c r="G83" s="148">
        <f>-G55/(F12)</f>
        <v>0.8890528281</v>
      </c>
      <c r="H83" s="149"/>
    </row>
    <row r="84" ht="12.75" customHeight="1">
      <c r="A84" s="135"/>
      <c r="B84" s="105"/>
      <c r="C84" s="105"/>
      <c r="D84" s="105"/>
      <c r="E84" s="105"/>
      <c r="F84" s="105"/>
      <c r="G84" s="136"/>
      <c r="H84" s="58"/>
    </row>
    <row r="85" ht="6.75" customHeight="1">
      <c r="A85" s="150"/>
      <c r="B85" s="2"/>
      <c r="C85" s="2"/>
      <c r="D85" s="2"/>
      <c r="E85" s="2"/>
      <c r="F85" s="2"/>
      <c r="G85" s="2"/>
      <c r="H85" s="3"/>
    </row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6">
    <mergeCell ref="G81:G82"/>
    <mergeCell ref="H81:H82"/>
    <mergeCell ref="C75:F76"/>
    <mergeCell ref="G75:G76"/>
    <mergeCell ref="C77:F78"/>
    <mergeCell ref="G77:G78"/>
    <mergeCell ref="C79:F80"/>
    <mergeCell ref="G79:G80"/>
    <mergeCell ref="C81:F82"/>
    <mergeCell ref="G23:G24"/>
    <mergeCell ref="H23:H24"/>
    <mergeCell ref="A1:H1"/>
    <mergeCell ref="C2:G2"/>
    <mergeCell ref="H2:H4"/>
    <mergeCell ref="C3:G3"/>
    <mergeCell ref="C4:G4"/>
    <mergeCell ref="A23:B24"/>
    <mergeCell ref="F23:F24"/>
    <mergeCell ref="C67:F68"/>
    <mergeCell ref="G67:G68"/>
    <mergeCell ref="A55:C56"/>
    <mergeCell ref="F55:F56"/>
    <mergeCell ref="G55:G56"/>
    <mergeCell ref="A58:G58"/>
    <mergeCell ref="A64:G64"/>
    <mergeCell ref="C65:F66"/>
    <mergeCell ref="B67:B68"/>
    <mergeCell ref="G71:G72"/>
    <mergeCell ref="G73:G74"/>
    <mergeCell ref="G83:G84"/>
    <mergeCell ref="H83:H84"/>
    <mergeCell ref="B71:B72"/>
    <mergeCell ref="B75:B76"/>
    <mergeCell ref="B77:B78"/>
    <mergeCell ref="B79:B80"/>
    <mergeCell ref="B81:B82"/>
    <mergeCell ref="B83:B84"/>
    <mergeCell ref="C83:F84"/>
    <mergeCell ref="A85:H85"/>
    <mergeCell ref="B69:B70"/>
    <mergeCell ref="C69:F70"/>
    <mergeCell ref="G69:G70"/>
    <mergeCell ref="C71:F71"/>
    <mergeCell ref="C72:F72"/>
    <mergeCell ref="C73:F73"/>
    <mergeCell ref="C74:F74"/>
  </mergeCells>
  <conditionalFormatting sqref="G65">
    <cfRule type="cellIs" dxfId="0" priority="1" operator="lessThanOrEqual">
      <formula>7</formula>
    </cfRule>
  </conditionalFormatting>
  <conditionalFormatting sqref="G65">
    <cfRule type="cellIs" dxfId="1" priority="2" operator="between">
      <formula>7</formula>
      <formula>100</formula>
    </cfRule>
  </conditionalFormatting>
  <conditionalFormatting sqref="G65">
    <cfRule type="cellIs" dxfId="2" priority="3" operator="greaterThanOrEqual">
      <formula>100</formula>
    </cfRule>
  </conditionalFormatting>
  <conditionalFormatting sqref="G66">
    <cfRule type="cellIs" dxfId="0" priority="4" operator="lessThanOrEqual">
      <formula>84</formula>
    </cfRule>
  </conditionalFormatting>
  <conditionalFormatting sqref="G66">
    <cfRule type="cellIs" dxfId="1" priority="5" operator="between">
      <formula>84</formula>
      <formula>700</formula>
    </cfRule>
  </conditionalFormatting>
  <conditionalFormatting sqref="G66">
    <cfRule type="cellIs" dxfId="2" priority="6" operator="greaterThanOrEqual">
      <formula>700</formula>
    </cfRule>
  </conditionalFormatting>
  <conditionalFormatting sqref="G69:G70">
    <cfRule type="cellIs" dxfId="0" priority="7" operator="greaterThanOrEqual">
      <formula>"8%"</formula>
    </cfRule>
  </conditionalFormatting>
  <conditionalFormatting sqref="G69:G70">
    <cfRule type="cellIs" dxfId="1" priority="8" operator="between">
      <formula>"5%"</formula>
      <formula>"7%"</formula>
    </cfRule>
  </conditionalFormatting>
  <conditionalFormatting sqref="G69:G70">
    <cfRule type="cellIs" dxfId="2" priority="9" operator="lessThan">
      <formula>"7%"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2001-06-18T19:50:04Z</dcterms:created>
  <dc:creator>Mike Swope</dc:creator>
</cp:coreProperties>
</file>